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<sst xmlns="http://schemas.openxmlformats.org/spreadsheetml/2006/main" count="167" uniqueCount="113">
  <si>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</si>
  <si>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</si>
  <si>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</si>
  <si>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</si>
  <si>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</si>
  <si>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</si>
  <si>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</si>
  <si>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</si>
  <si>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</si>
  <si>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</si>
  <si>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</si>
  <si>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</si>
  <si>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</si>
  <si>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</si>
  <si>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</si>
  <si>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</si>
  <si>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</si>
  <si>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</si>
  <si>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</si>
  <si>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</si>
  <si>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</si>
  <si>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</si>
  <si>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</si>
  <si>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</si>
  <si>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</si>
  <si>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</si>
  <si>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</si>
  <si>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</si>
  <si>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</si>
  <si>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</si>
  <si>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</si>
  <si>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</si>
  <si>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</si>
  <si>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</si>
  <si>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</si>
  <si>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</si>
  <si>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</si>
  <si>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</si>
  <si>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</si>
  <si>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</si>
  <si>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</si>
  <si>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</si>
  <si>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</si>
  <si>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</si>
  <si>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</si>
  <si>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</si>
  <si>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</si>
  <si>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</si>
  <si>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</si>
  <si>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</si>
  <si>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</si>
  <si>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</si>
  <si>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</si>
  <si>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</si>
  <si>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</si>
  <si>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</si>
  <si>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</si>
  <si>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</si>
  <si>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</si>
  <si>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</si>
  <si>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</si>
  <si>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</si>
  <si>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</si>
  <si>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</si>
  <si>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</si>
  <si>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</si>
  <si>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</si>
  <si>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</si>
  <si>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</si>
  <si>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</si>
  <si>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</si>
  <si>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</si>
  <si>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</si>
  <si>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</si>
  <si>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</si>
  <si>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</si>
  <si>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</si>
  <si>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</si>
  <si>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</si>
  <si>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</si>
  <si>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</si>
  <si>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</si>
  <si>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</si>
  <si>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</si>
  <si>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</si>
  <si>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</si>
  <si>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</si>
  <si>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</si>
  <si>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</si>
  <si>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</si>
  <si>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</si>
  <si>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</si>
  <si>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</si>
  <si>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</si>
  <si>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</si>
  <si>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</si>
  <si>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</si>
  <si>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</si>
  <si>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</si>
  <si>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</si>
  <si>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</si>
  <si>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</si>
  <si>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</si>
  <si>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</si>
  <si>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</si>
  <si>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</si>
  <si>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</si>
  <si>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</si>
  <si>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</si>
  <si>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4 місяців, тис.грн.</t>
  </si>
  <si>
    <t>Відсоток виконання  плану 4 місяців</t>
  </si>
  <si>
    <t>План на 4 місяці тис.грн.</t>
  </si>
  <si>
    <t>Аналіз використання коштів загального фонду міського бюджету станом на 04.04.2019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</si>
</sst>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'!$C$91</c:f>
              <c:numCache>
                <c:ptCount val="1"/>
                <c:pt idx="0">
                  <c:v>208652.8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'!$D$91</c:f>
              <c:numCache>
                <c:ptCount val="1"/>
                <c:pt idx="0">
                  <c:v>52263.9</c:v>
                </c:pt>
              </c:numCache>
            </c:numRef>
          </c:val>
          <c:shape val="box"/>
        </c:ser>
        <c:shape val="box"/>
        <c:axId val="11708678"/>
        <c:axId val="38269239"/>
      </c:bar3DChart>
      <c:catAx>
        <c:axId val="1170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69239"/>
        <c:crosses val="autoZero"/>
        <c:auto val="1"/>
        <c:lblOffset val="100"/>
        <c:tickLblSkip val="1"/>
        <c:noMultiLvlLbl val="0"/>
      </c:catAx>
      <c:valAx>
        <c:axId val="38269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8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222999.70000000004</c:v>
                </c:pt>
              </c:numCache>
            </c:numRef>
          </c:val>
          <c:shape val="box"/>
        </c:ser>
        <c:shape val="box"/>
        <c:axId val="8878832"/>
        <c:axId val="12800625"/>
      </c:bar3DChart>
      <c:catAx>
        <c:axId val="8878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00625"/>
        <c:crosses val="autoZero"/>
        <c:auto val="1"/>
        <c:lblOffset val="100"/>
        <c:tickLblSkip val="1"/>
        <c:noMultiLvlLbl val="0"/>
      </c:catAx>
      <c:valAx>
        <c:axId val="12800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78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92639.79999999999</c:v>
                </c:pt>
              </c:numCache>
            </c:numRef>
          </c:val>
          <c:shape val="box"/>
        </c:ser>
        <c:shape val="box"/>
        <c:axId val="48096762"/>
        <c:axId val="30217675"/>
      </c:bar3DChart>
      <c:catAx>
        <c:axId val="4809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17675"/>
        <c:crosses val="autoZero"/>
        <c:auto val="1"/>
        <c:lblOffset val="100"/>
        <c:tickLblSkip val="1"/>
        <c:noMultiLvlLbl val="0"/>
      </c:catAx>
      <c:valAx>
        <c:axId val="30217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96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26954.8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5964.799999999998</c:v>
                </c:pt>
              </c:numCache>
            </c:numRef>
          </c:val>
          <c:shape val="box"/>
        </c:ser>
        <c:shape val="box"/>
        <c:axId val="3523620"/>
        <c:axId val="31712581"/>
      </c:bar3DChart>
      <c:catAx>
        <c:axId val="352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12581"/>
        <c:crosses val="autoZero"/>
        <c:auto val="1"/>
        <c:lblOffset val="100"/>
        <c:tickLblSkip val="1"/>
        <c:noMultiLvlLbl val="0"/>
      </c:catAx>
      <c:valAx>
        <c:axId val="31712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54626.8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9538.1</c:v>
                </c:pt>
              </c:numCache>
            </c:numRef>
          </c:val>
          <c:shape val="box"/>
        </c:ser>
        <c:shape val="box"/>
        <c:axId val="16977774"/>
        <c:axId val="18582239"/>
      </c:bar3DChart>
      <c:catAx>
        <c:axId val="16977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82239"/>
        <c:crosses val="autoZero"/>
        <c:auto val="1"/>
        <c:lblOffset val="100"/>
        <c:tickLblSkip val="2"/>
        <c:noMultiLvlLbl val="0"/>
      </c:catAx>
      <c:valAx>
        <c:axId val="18582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7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1036.6</c:v>
                </c:pt>
              </c:numCache>
            </c:numRef>
          </c:val>
          <c:shape val="box"/>
        </c:ser>
        <c:shape val="box"/>
        <c:axId val="33022424"/>
        <c:axId val="28766361"/>
      </c:bar3DChart>
      <c:catAx>
        <c:axId val="330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66361"/>
        <c:crosses val="autoZero"/>
        <c:auto val="1"/>
        <c:lblOffset val="100"/>
        <c:tickLblSkip val="1"/>
        <c:noMultiLvlLbl val="0"/>
      </c:catAx>
      <c:valAx>
        <c:axId val="28766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22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'!$C$96</c:f>
              <c:numCache>
                <c:ptCount val="1"/>
                <c:pt idx="0">
                  <c:v>124643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'!$D$96</c:f>
              <c:numCache>
                <c:ptCount val="1"/>
                <c:pt idx="0">
                  <c:v>11462.299999999997</c:v>
                </c:pt>
              </c:numCache>
            </c:numRef>
          </c:val>
          <c:shape val="box"/>
        </c:ser>
        <c:shape val="box"/>
        <c:axId val="57570658"/>
        <c:axId val="48373875"/>
      </c:bar3DChart>
      <c:catAx>
        <c:axId val="57570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373875"/>
        <c:crosses val="autoZero"/>
        <c:auto val="1"/>
        <c:lblOffset val="100"/>
        <c:tickLblSkip val="1"/>
        <c:noMultiLvlLbl val="0"/>
      </c:catAx>
      <c:valAx>
        <c:axId val="48373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0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4175"/>
          <c:w val="0.85125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'!$C$91,'аналіз фінансування '!$C$96)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208652.8</c:v>
                </c:pt>
                <c:pt idx="6">
                  <c:v>124643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'!$D$91,'аналіз фінансування '!$D$96)</c:f>
              <c:numCache>
                <c:ptCount val="7"/>
                <c:pt idx="0">
                  <c:v>222999.70000000004</c:v>
                </c:pt>
                <c:pt idx="1">
                  <c:v>92639.79999999999</c:v>
                </c:pt>
                <c:pt idx="2">
                  <c:v>5964.799999999998</c:v>
                </c:pt>
                <c:pt idx="3">
                  <c:v>9538.1</c:v>
                </c:pt>
                <c:pt idx="4">
                  <c:v>1036.6</c:v>
                </c:pt>
                <c:pt idx="5">
                  <c:v>52263.9</c:v>
                </c:pt>
                <c:pt idx="6">
                  <c:v>11462.299999999997</c:v>
                </c:pt>
              </c:numCache>
            </c:numRef>
          </c:val>
          <c:shape val="box"/>
        </c:ser>
        <c:shape val="box"/>
        <c:axId val="32711692"/>
        <c:axId val="25969773"/>
      </c:bar3DChart>
      <c:catAx>
        <c:axId val="32711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69773"/>
        <c:crosses val="autoZero"/>
        <c:auto val="1"/>
        <c:lblOffset val="100"/>
        <c:tickLblSkip val="1"/>
        <c:noMultiLvlLbl val="0"/>
      </c:catAx>
      <c:valAx>
        <c:axId val="25969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1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'!$C$156:$C$161</c:f>
              <c:numCache>
                <c:ptCount val="6"/>
                <c:pt idx="0">
                  <c:v>987414.6</c:v>
                </c:pt>
                <c:pt idx="1">
                  <c:v>125178.8</c:v>
                </c:pt>
                <c:pt idx="2">
                  <c:v>48385.3</c:v>
                </c:pt>
                <c:pt idx="3">
                  <c:v>90000.30000000002</c:v>
                </c:pt>
                <c:pt idx="4">
                  <c:v>122.9</c:v>
                </c:pt>
                <c:pt idx="5">
                  <c:v>1256579.7900000003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'!$D$156:$D$161</c:f>
              <c:numCache>
                <c:ptCount val="6"/>
                <c:pt idx="0">
                  <c:v>234703.09999999998</c:v>
                </c:pt>
                <c:pt idx="1">
                  <c:v>39140.999999999985</c:v>
                </c:pt>
                <c:pt idx="2">
                  <c:v>12308.399999999998</c:v>
                </c:pt>
                <c:pt idx="3">
                  <c:v>18783.5</c:v>
                </c:pt>
                <c:pt idx="4">
                  <c:v>35.9</c:v>
                </c:pt>
                <c:pt idx="5">
                  <c:v>238146.1999999999</c:v>
                </c:pt>
              </c:numCache>
            </c:numRef>
          </c:val>
          <c:shape val="box"/>
        </c:ser>
        <c:shape val="box"/>
        <c:axId val="32401366"/>
        <c:axId val="23176839"/>
      </c:bar3DChart>
      <c:catAx>
        <c:axId val="3240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76839"/>
        <c:crosses val="autoZero"/>
        <c:auto val="1"/>
        <c:lblOffset val="100"/>
        <c:tickLblSkip val="1"/>
        <c:noMultiLvlLbl val="0"/>
      </c:catAx>
      <c:valAx>
        <c:axId val="23176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01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64" zoomScaleNormal="80" zoomScaleSheetLayoutView="64" workbookViewId="0" topLeftCell="C120">
      <selection activeCell="K149" sqref="K149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111</v>
      </c>
      <c r="C3" s="164" t="s">
        <v>103</v>
      </c>
      <c r="D3" s="164" t="s">
        <v>20</v>
      </c>
      <c r="E3" s="164" t="s">
        <v>19</v>
      </c>
      <c r="F3" s="164" t="s">
        <v>110</v>
      </c>
      <c r="G3" s="164" t="s">
        <v>105</v>
      </c>
      <c r="H3" s="164" t="s">
        <v>109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42"/>
    </row>
    <row r="6" spans="1:12" ht="18.75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</f>
        <v>222999.70000000004</v>
      </c>
      <c r="E6" s="3">
        <f>D6/D155*100</f>
        <v>41.059154537475386</v>
      </c>
      <c r="F6" s="3">
        <f>D6/B6*100</f>
        <v>67.70907406046703</v>
      </c>
      <c r="G6" s="3">
        <f aca="true" t="shared" si="0" ref="G6:G43">D6/C6*100</f>
        <v>24.236929674660633</v>
      </c>
      <c r="H6" s="36">
        <f>B6-D6</f>
        <v>106350.09999999995</v>
      </c>
      <c r="I6" s="36">
        <f aca="true" t="shared" si="1" ref="I6:I43">C6-D6</f>
        <v>697082.5999999999</v>
      </c>
      <c r="J6" s="142"/>
      <c r="L6" s="143">
        <f>H6-H7</f>
        <v>83284.69999999994</v>
      </c>
    </row>
    <row r="7" spans="1:9" s="84" customFormat="1" ht="18.75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</f>
        <v>69016.2</v>
      </c>
      <c r="E7" s="129">
        <f>D7/D6*100</f>
        <v>30.94901024530526</v>
      </c>
      <c r="F7" s="129">
        <f>D7/B7*100</f>
        <v>74.95113030181925</v>
      </c>
      <c r="G7" s="129">
        <f>D7/C7*100</f>
        <v>23.085475820462577</v>
      </c>
      <c r="H7" s="128">
        <f>B7-D7</f>
        <v>23065.40000000001</v>
      </c>
      <c r="I7" s="128">
        <f t="shared" si="1"/>
        <v>229943.2</v>
      </c>
    </row>
    <row r="8" spans="1:9" s="142" customFormat="1" ht="18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20722.3+1.9+16592.9+1044.7+15069.2+2403.3+273.5+14243.2+10510.2+12398.6+19789.8+60.7+23573.1+21765.1+12514+5.3+4.8</f>
        <v>170972.59999999998</v>
      </c>
      <c r="E8" s="94">
        <f>D8/D6*100</f>
        <v>76.66943049699168</v>
      </c>
      <c r="F8" s="94">
        <f>D8/B8*100</f>
        <v>72.6031597202759</v>
      </c>
      <c r="G8" s="94">
        <f t="shared" si="0"/>
        <v>23.438813932070286</v>
      </c>
      <c r="H8" s="92">
        <f>B8-D8</f>
        <v>64516.600000000035</v>
      </c>
      <c r="I8" s="92">
        <f t="shared" si="1"/>
        <v>558469.6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</f>
        <v>35.9</v>
      </c>
      <c r="E9" s="114">
        <f>D9/D6*100</f>
        <v>0.01609867636593233</v>
      </c>
      <c r="F9" s="94">
        <f>D9/B9*100</f>
        <v>69.43907156673113</v>
      </c>
      <c r="G9" s="94">
        <f t="shared" si="0"/>
        <v>34.22306959008579</v>
      </c>
      <c r="H9" s="92">
        <f aca="true" t="shared" si="2" ref="H9:H43">B9-D9</f>
        <v>15.800000000000004</v>
      </c>
      <c r="I9" s="92">
        <f t="shared" si="1"/>
        <v>69</v>
      </c>
    </row>
    <row r="10" spans="1:9" s="142" customFormat="1" ht="18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525.8+44.4+601.2+43.3+356.4+55.6+22.2+1183.8+262+357.1+64+47.5+133.7+449.5+46.4+224.9+741.1+480.4+382.5-93.5+0.2+240.3+427.1+446.9+102.1+46+154.6+766.9+945+400+1+1121.4+59+682.9+18.7+363.3+73.4+41.9</f>
        <v>11818.999999999998</v>
      </c>
      <c r="E10" s="94">
        <f>D10/D6*100</f>
        <v>5.300007130054434</v>
      </c>
      <c r="F10" s="94">
        <f aca="true" t="shared" si="3" ref="F10:F41">D10/B10*100</f>
        <v>62.02050733079353</v>
      </c>
      <c r="G10" s="94">
        <f t="shared" si="0"/>
        <v>27.207767991565333</v>
      </c>
      <c r="H10" s="92">
        <f t="shared" si="2"/>
        <v>7237.6</v>
      </c>
      <c r="I10" s="92">
        <f t="shared" si="1"/>
        <v>31620.800000000003</v>
      </c>
    </row>
    <row r="11" spans="1:9" s="142" customFormat="1" ht="18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39.4+1482.5+161.1+446.7+223.7+143.2+2067.6+42+0.7+3077.2+2292.1+4098.5+884.8+1.1+688.8+1267.7+920.8+531.8+2870.4+2522+1076.6+267.2+3290.1+1467.5+255.7+697.1+813.5+565.4+107.9+63.1-5.9+65.1+547.6+206.2</f>
        <v>33179.19999999999</v>
      </c>
      <c r="E11" s="94">
        <f>D11/D6*100</f>
        <v>14.878585038455203</v>
      </c>
      <c r="F11" s="94">
        <f t="shared" si="3"/>
        <v>56.56274985466874</v>
      </c>
      <c r="G11" s="94">
        <f t="shared" si="0"/>
        <v>33.77901395072298</v>
      </c>
      <c r="H11" s="92">
        <f t="shared" si="2"/>
        <v>25479.90000000001</v>
      </c>
      <c r="I11" s="92">
        <f t="shared" si="1"/>
        <v>65045.10000000001</v>
      </c>
    </row>
    <row r="12" spans="1:9" s="142" customFormat="1" ht="18">
      <c r="A12" s="90" t="s">
        <v>12</v>
      </c>
      <c r="B12" s="112">
        <v>4571</v>
      </c>
      <c r="C12" s="113">
        <f>13016.5-27.3</f>
        <v>12989.2</v>
      </c>
      <c r="D12" s="92">
        <f>134.7+863.6+21+169+134.3+503.1+242.3+376.7+419.7+11.5+196.3</f>
        <v>3072.2</v>
      </c>
      <c r="E12" s="94">
        <f>D12/D6*100</f>
        <v>1.3776700148027101</v>
      </c>
      <c r="F12" s="94">
        <f t="shared" si="3"/>
        <v>67.21067600087508</v>
      </c>
      <c r="G12" s="94">
        <f t="shared" si="0"/>
        <v>23.65195701043944</v>
      </c>
      <c r="H12" s="92">
        <f>B12-D12</f>
        <v>1498.8000000000002</v>
      </c>
      <c r="I12" s="92">
        <f t="shared" si="1"/>
        <v>9917</v>
      </c>
    </row>
    <row r="13" spans="1:9" s="142" customFormat="1" ht="18.75" thickBot="1">
      <c r="A13" s="90" t="s">
        <v>25</v>
      </c>
      <c r="B13" s="113">
        <f>B6-B8-B9-B10-B11-B12</f>
        <v>11522.19999999999</v>
      </c>
      <c r="C13" s="113">
        <f>C6-C8-C9-C10-C11-C12</f>
        <v>35881.899999999965</v>
      </c>
      <c r="D13" s="113">
        <f>D6-D8-D9-D10-D11-D12</f>
        <v>3920.800000000073</v>
      </c>
      <c r="E13" s="94">
        <f>D13/D6*100</f>
        <v>1.758208643330046</v>
      </c>
      <c r="F13" s="94">
        <f t="shared" si="3"/>
        <v>34.02822377670997</v>
      </c>
      <c r="G13" s="94">
        <f t="shared" si="0"/>
        <v>10.926957602579787</v>
      </c>
      <c r="H13" s="92">
        <f t="shared" si="2"/>
        <v>7601.399999999917</v>
      </c>
      <c r="I13" s="92">
        <f t="shared" si="1"/>
        <v>31961.099999999893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</f>
        <v>92639.79999999999</v>
      </c>
      <c r="E18" s="3">
        <f>D18/D155*100</f>
        <v>17.057026823447792</v>
      </c>
      <c r="F18" s="3">
        <f>D18/B18*100</f>
        <v>63.07055693382752</v>
      </c>
      <c r="G18" s="3">
        <f t="shared" si="0"/>
        <v>22.163177705096555</v>
      </c>
      <c r="H18" s="36">
        <f>B18-D18</f>
        <v>54243</v>
      </c>
      <c r="I18" s="36">
        <f t="shared" si="1"/>
        <v>325349.9000000001</v>
      </c>
      <c r="J18" s="142"/>
      <c r="L18" s="143">
        <f>H18-H19</f>
        <v>37105.700000000004</v>
      </c>
    </row>
    <row r="19" spans="1:9" s="84" customFormat="1" ht="18.75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9880.4+236.6+6921+499.9+9964.9+430.2+258.6+5793.8+50.4+1023.5+21.4+9702.8+983.7+1447.3+3314.6+585.3+0.7</f>
        <v>51115.1</v>
      </c>
      <c r="E19" s="129">
        <f>D19/D18*100</f>
        <v>55.17617697792958</v>
      </c>
      <c r="F19" s="129">
        <f t="shared" si="3"/>
        <v>74.89128587419637</v>
      </c>
      <c r="G19" s="129">
        <f t="shared" si="0"/>
        <v>24.890981948899444</v>
      </c>
      <c r="H19" s="128">
        <f t="shared" si="2"/>
        <v>17137.299999999996</v>
      </c>
      <c r="I19" s="128">
        <f t="shared" si="1"/>
        <v>154240.80000000002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272.6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272.6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92639.79999999999</v>
      </c>
      <c r="E25" s="94">
        <f>D25/D18*100</f>
        <v>100</v>
      </c>
      <c r="F25" s="94">
        <f t="shared" si="3"/>
        <v>63.1878273135157</v>
      </c>
      <c r="G25" s="94">
        <f t="shared" si="0"/>
        <v>22.216296158447804</v>
      </c>
      <c r="H25" s="92">
        <f>B25-D25</f>
        <v>53970.399999999994</v>
      </c>
      <c r="I25" s="92">
        <f t="shared" si="1"/>
        <v>324350.50000000006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v>9016.3</v>
      </c>
      <c r="C33" s="35">
        <v>26954.8</v>
      </c>
      <c r="D33" s="38">
        <f>238.4+293+43.5+2+39.3+520.9+174.4+181.2+85.5+20.9+137.9+290.2+173.9+53.1+2.1+1.1+14+954.2-0.1+111.5+189.8+1.9+691.6+343.2+7.5-0.1+137+2.4+142.9+7.4+11.4+645.7+261.4-0.1+185.8</f>
        <v>5964.799999999998</v>
      </c>
      <c r="E33" s="3">
        <f>D33/D155*100</f>
        <v>1.098251006549036</v>
      </c>
      <c r="F33" s="3">
        <f>D33/B33*100</f>
        <v>66.15574015948891</v>
      </c>
      <c r="G33" s="3">
        <f t="shared" si="0"/>
        <v>22.128897265051116</v>
      </c>
      <c r="H33" s="36">
        <f t="shared" si="2"/>
        <v>3051.500000000001</v>
      </c>
      <c r="I33" s="36">
        <f t="shared" si="1"/>
        <v>20990</v>
      </c>
      <c r="J33" s="142"/>
    </row>
    <row r="34" spans="1:9" s="142" customFormat="1" ht="18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</f>
        <v>3167.3</v>
      </c>
      <c r="E34" s="94">
        <f>D34/D33*100</f>
        <v>53.09985246781118</v>
      </c>
      <c r="F34" s="94">
        <f t="shared" si="3"/>
        <v>68.89778338517762</v>
      </c>
      <c r="G34" s="94">
        <f t="shared" si="0"/>
        <v>22.217623704036253</v>
      </c>
      <c r="H34" s="92">
        <f t="shared" si="2"/>
        <v>1429.8000000000002</v>
      </c>
      <c r="I34" s="92">
        <f t="shared" si="1"/>
        <v>11088.5</v>
      </c>
    </row>
    <row r="35" spans="1:9" s="142" customFormat="1" ht="18">
      <c r="A35" s="90" t="s">
        <v>1</v>
      </c>
      <c r="B35" s="112">
        <v>22.5</v>
      </c>
      <c r="C35" s="113">
        <v>87.1</v>
      </c>
      <c r="D35" s="92">
        <f>10+2+7.5</f>
        <v>19.5</v>
      </c>
      <c r="E35" s="94">
        <f>D35/D33*100</f>
        <v>0.32691791845493573</v>
      </c>
      <c r="F35" s="94">
        <f t="shared" si="3"/>
        <v>86.66666666666667</v>
      </c>
      <c r="G35" s="94">
        <f t="shared" si="0"/>
        <v>22.388059701492537</v>
      </c>
      <c r="H35" s="92">
        <f t="shared" si="2"/>
        <v>3</v>
      </c>
      <c r="I35" s="92">
        <f t="shared" si="1"/>
        <v>67.6</v>
      </c>
    </row>
    <row r="36" spans="1:9" s="142" customFormat="1" ht="18">
      <c r="A36" s="90" t="s">
        <v>0</v>
      </c>
      <c r="B36" s="112">
        <v>1124.3</v>
      </c>
      <c r="C36" s="113">
        <v>2087.8</v>
      </c>
      <c r="D36" s="92">
        <f>1.1+273.8+98.4+76.8+0.5+2.1+0.3</f>
        <v>453.0000000000001</v>
      </c>
      <c r="E36" s="94">
        <f>D36/D33*100</f>
        <v>7.594554721030048</v>
      </c>
      <c r="F36" s="94">
        <f t="shared" si="3"/>
        <v>40.29173708085032</v>
      </c>
      <c r="G36" s="94">
        <f t="shared" si="0"/>
        <v>21.697480601590193</v>
      </c>
      <c r="H36" s="92">
        <f t="shared" si="2"/>
        <v>671.2999999999998</v>
      </c>
      <c r="I36" s="92">
        <f t="shared" si="1"/>
        <v>1634.8000000000002</v>
      </c>
    </row>
    <row r="37" spans="1:9" s="84" customFormat="1" ht="18.75">
      <c r="A37" s="103" t="s">
        <v>7</v>
      </c>
      <c r="B37" s="123">
        <v>234</v>
      </c>
      <c r="C37" s="124">
        <v>1082.6</v>
      </c>
      <c r="D37" s="96">
        <f>38.7+2+2.3+2.6+2.1+1.9+12.2+7.5+2.4</f>
        <v>71.7</v>
      </c>
      <c r="E37" s="99">
        <f>D37/D33*100</f>
        <v>1.2020520386266098</v>
      </c>
      <c r="F37" s="99">
        <f t="shared" si="3"/>
        <v>30.641025641025642</v>
      </c>
      <c r="G37" s="99">
        <f t="shared" si="0"/>
        <v>6.622944762608536</v>
      </c>
      <c r="H37" s="96">
        <f t="shared" si="2"/>
        <v>162.3</v>
      </c>
      <c r="I37" s="96">
        <f t="shared" si="1"/>
        <v>1010.8999999999999</v>
      </c>
    </row>
    <row r="38" spans="1:9" s="142" customFormat="1" ht="18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0.8550160944206011</v>
      </c>
      <c r="F38" s="94">
        <f t="shared" si="3"/>
        <v>66.4928292046936</v>
      </c>
      <c r="G38" s="94">
        <f t="shared" si="0"/>
        <v>22.116218560277538</v>
      </c>
      <c r="H38" s="92">
        <f t="shared" si="2"/>
        <v>25.700000000000003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2961.699999999999</v>
      </c>
      <c r="C39" s="112">
        <f>C33-C34-C36-C37-C35-C38</f>
        <v>9210.9</v>
      </c>
      <c r="D39" s="112">
        <f>D33-D34-D36-D37-D35-D38</f>
        <v>2202.2999999999984</v>
      </c>
      <c r="E39" s="94">
        <f>D39/D33*100</f>
        <v>36.92160675965663</v>
      </c>
      <c r="F39" s="94">
        <f t="shared" si="3"/>
        <v>74.35932066043148</v>
      </c>
      <c r="G39" s="94">
        <f t="shared" si="0"/>
        <v>23.909715662964516</v>
      </c>
      <c r="H39" s="92">
        <f>B39-D39</f>
        <v>759.4000000000005</v>
      </c>
      <c r="I39" s="92">
        <f t="shared" si="1"/>
        <v>7008.600000000001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</f>
        <v>177.90000000000003</v>
      </c>
      <c r="E43" s="3">
        <f>D43/D155*100</f>
        <v>0.03275530681080231</v>
      </c>
      <c r="F43" s="3">
        <f>D43/B43*100</f>
        <v>57.947882736156366</v>
      </c>
      <c r="G43" s="3">
        <f t="shared" si="0"/>
        <v>18.151209060299973</v>
      </c>
      <c r="H43" s="36">
        <f t="shared" si="2"/>
        <v>129.09999999999997</v>
      </c>
      <c r="I43" s="36">
        <f t="shared" si="1"/>
        <v>802.2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56"/>
    </row>
    <row r="46" spans="1:11" ht="18.75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</f>
        <v>3905.7000000000007</v>
      </c>
      <c r="E46" s="3">
        <f>D46/D155*100</f>
        <v>0.7191253615005653</v>
      </c>
      <c r="F46" s="3">
        <f>D46/B46*100</f>
        <v>69.4914952672408</v>
      </c>
      <c r="G46" s="3">
        <f aca="true" t="shared" si="4" ref="G46:G77">D46/C46*100</f>
        <v>23.328614689913458</v>
      </c>
      <c r="H46" s="36">
        <f>B46-D46</f>
        <v>1714.699999999999</v>
      </c>
      <c r="I46" s="36">
        <f aca="true" t="shared" si="5" ref="I46:I78">C46-D46</f>
        <v>12836.399999999998</v>
      </c>
      <c r="J46" s="142"/>
      <c r="K46" s="156"/>
    </row>
    <row r="47" spans="1:11" s="142" customFormat="1" ht="18">
      <c r="A47" s="90" t="s">
        <v>3</v>
      </c>
      <c r="B47" s="112">
        <v>4866.2</v>
      </c>
      <c r="C47" s="113">
        <v>15270.9</v>
      </c>
      <c r="D47" s="92">
        <f>332.5+633.1+14.1+510.1+691.2+14.1+377.2-0.1+896.5</f>
        <v>3468.7</v>
      </c>
      <c r="E47" s="94">
        <f>D47/D46*100</f>
        <v>88.81122462042653</v>
      </c>
      <c r="F47" s="94">
        <f aca="true" t="shared" si="6" ref="F47:F75">D47/B47*100</f>
        <v>71.28149274587973</v>
      </c>
      <c r="G47" s="94">
        <f t="shared" si="4"/>
        <v>22.7144438114322</v>
      </c>
      <c r="H47" s="92">
        <f aca="true" t="shared" si="7" ref="H47:H75">B47-D47</f>
        <v>1397.5</v>
      </c>
      <c r="I47" s="92">
        <f t="shared" si="5"/>
        <v>11802.2</v>
      </c>
      <c r="K47" s="156"/>
    </row>
    <row r="48" spans="1:11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K48" s="156"/>
    </row>
    <row r="49" spans="1:11" s="142" customFormat="1" ht="18">
      <c r="A49" s="90" t="s">
        <v>1</v>
      </c>
      <c r="B49" s="112">
        <v>31.5</v>
      </c>
      <c r="C49" s="113">
        <v>106.3</v>
      </c>
      <c r="D49" s="92">
        <f>8.3+10.5</f>
        <v>18.8</v>
      </c>
      <c r="E49" s="94">
        <f>D49/D46*100</f>
        <v>0.48134777376654625</v>
      </c>
      <c r="F49" s="94">
        <f t="shared" si="6"/>
        <v>59.682539682539684</v>
      </c>
      <c r="G49" s="94">
        <f t="shared" si="4"/>
        <v>17.68579492003763</v>
      </c>
      <c r="H49" s="92">
        <f t="shared" si="7"/>
        <v>12.7</v>
      </c>
      <c r="I49" s="92">
        <f t="shared" si="5"/>
        <v>87.5</v>
      </c>
      <c r="K49" s="156"/>
    </row>
    <row r="50" spans="1:11" s="142" customFormat="1" ht="18">
      <c r="A50" s="90" t="s">
        <v>0</v>
      </c>
      <c r="B50" s="112">
        <v>614.3</v>
      </c>
      <c r="C50" s="113">
        <v>998.4</v>
      </c>
      <c r="D50" s="92">
        <f>13.9+43.7+37.9+3.3+112.6+65.7+2.1+15.6+56.1+2.7</f>
        <v>353.6</v>
      </c>
      <c r="E50" s="94">
        <f>D50/D46*100</f>
        <v>9.053434723609083</v>
      </c>
      <c r="F50" s="94">
        <f t="shared" si="6"/>
        <v>57.56145205925445</v>
      </c>
      <c r="G50" s="94">
        <f t="shared" si="4"/>
        <v>35.41666666666667</v>
      </c>
      <c r="H50" s="92">
        <f t="shared" si="7"/>
        <v>260.69999999999993</v>
      </c>
      <c r="I50" s="92">
        <f t="shared" si="5"/>
        <v>644.8</v>
      </c>
      <c r="K50" s="156"/>
    </row>
    <row r="51" spans="1:11" s="142" customFormat="1" ht="18.75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64.60000000000089</v>
      </c>
      <c r="E51" s="94">
        <f>D51/D46*100</f>
        <v>1.653992882197836</v>
      </c>
      <c r="F51" s="94">
        <f t="shared" si="6"/>
        <v>60.093023255814856</v>
      </c>
      <c r="G51" s="94">
        <f t="shared" si="4"/>
        <v>17.70348040559087</v>
      </c>
      <c r="H51" s="92">
        <f t="shared" si="7"/>
        <v>42.89999999999897</v>
      </c>
      <c r="I51" s="92">
        <f t="shared" si="5"/>
        <v>300.299999999998</v>
      </c>
      <c r="K51" s="156"/>
    </row>
    <row r="52" spans="1:10" ht="18.75" thickBot="1">
      <c r="A52" s="18" t="s">
        <v>4</v>
      </c>
      <c r="B52" s="34">
        <v>18755.4</v>
      </c>
      <c r="C52" s="35">
        <v>54626.8</v>
      </c>
      <c r="D52" s="36">
        <f>721.7+145.3+5+112.8+1132.7+7.6+9.6+17.1+0.3+1056.5+185.3+56.2+95+1327.2+403.4+2.3+70.2+233.5+966+52.7+123+9.9-0.1+532.2+8.3+75.6+313.4+1771.2+5.9+0.1+98.2</f>
        <v>9538.1</v>
      </c>
      <c r="E52" s="3">
        <f>D52/D155*100</f>
        <v>1.7561742096240216</v>
      </c>
      <c r="F52" s="3">
        <f>D52/B52*100</f>
        <v>50.85522036320206</v>
      </c>
      <c r="G52" s="3">
        <f t="shared" si="4"/>
        <v>17.460477274890714</v>
      </c>
      <c r="H52" s="36">
        <f>B52-D52</f>
        <v>9217.300000000001</v>
      </c>
      <c r="I52" s="36">
        <f t="shared" si="5"/>
        <v>45088.700000000004</v>
      </c>
      <c r="J52" s="142"/>
    </row>
    <row r="53" spans="1:9" s="142" customFormat="1" ht="18">
      <c r="A53" s="90" t="s">
        <v>3</v>
      </c>
      <c r="B53" s="112">
        <v>9043.2</v>
      </c>
      <c r="C53" s="113">
        <v>25959.9</v>
      </c>
      <c r="D53" s="92">
        <f>721.7+980.4+865.2+984.4+270.7+792.3+9.9+66.7+1210.9</f>
        <v>5902.199999999999</v>
      </c>
      <c r="E53" s="94">
        <f>D53/D52*100</f>
        <v>61.88024868684538</v>
      </c>
      <c r="F53" s="94">
        <f t="shared" si="6"/>
        <v>65.26671974522291</v>
      </c>
      <c r="G53" s="94">
        <f t="shared" si="4"/>
        <v>22.73583488380155</v>
      </c>
      <c r="H53" s="92">
        <f t="shared" si="7"/>
        <v>3141.000000000002</v>
      </c>
      <c r="I53" s="92">
        <f t="shared" si="5"/>
        <v>20057.700000000004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1487.2</v>
      </c>
      <c r="C55" s="113">
        <v>4332.1</v>
      </c>
      <c r="D55" s="92">
        <f>3.2+7.6+9.6+11.4+10.1+24.7+6.6+7.8+2.3+6.6+70.1+102.1+3.2+185.8</f>
        <v>451.09999999999997</v>
      </c>
      <c r="E55" s="94">
        <f>D55/D52*100</f>
        <v>4.729453455090636</v>
      </c>
      <c r="F55" s="94">
        <f t="shared" si="6"/>
        <v>30.332167832167826</v>
      </c>
      <c r="G55" s="94">
        <f t="shared" si="4"/>
        <v>10.412963689665519</v>
      </c>
      <c r="H55" s="92">
        <f t="shared" si="7"/>
        <v>1036.1000000000001</v>
      </c>
      <c r="I55" s="92">
        <f t="shared" si="5"/>
        <v>3881.0000000000005</v>
      </c>
    </row>
    <row r="56" spans="1:9" s="142" customFormat="1" ht="18">
      <c r="A56" s="90" t="s">
        <v>0</v>
      </c>
      <c r="B56" s="112">
        <v>681.3</v>
      </c>
      <c r="C56" s="113">
        <v>1406.6</v>
      </c>
      <c r="D56" s="92">
        <f>0.3+1.2+21.4+80.5+2.4+14.5+22.9+268+5.9+0.1</f>
        <v>417.20000000000005</v>
      </c>
      <c r="E56" s="94">
        <f>D56/D52*100</f>
        <v>4.374036757844854</v>
      </c>
      <c r="F56" s="94">
        <f t="shared" si="6"/>
        <v>61.23587259650669</v>
      </c>
      <c r="G56" s="94">
        <f t="shared" si="4"/>
        <v>29.660173467936872</v>
      </c>
      <c r="H56" s="92">
        <f t="shared" si="7"/>
        <v>264.0999999999999</v>
      </c>
      <c r="I56" s="92">
        <f t="shared" si="5"/>
        <v>989.3999999999999</v>
      </c>
    </row>
    <row r="57" spans="1:9" s="142" customFormat="1" ht="18">
      <c r="A57" s="90" t="s">
        <v>12</v>
      </c>
      <c r="B57" s="112">
        <v>1456</v>
      </c>
      <c r="C57" s="113">
        <v>4640</v>
      </c>
      <c r="D57" s="113">
        <f>227+242</f>
        <v>469</v>
      </c>
      <c r="E57" s="94">
        <f>D57/D52*100</f>
        <v>4.917121858651094</v>
      </c>
      <c r="F57" s="94">
        <f>D57/B57*100</f>
        <v>32.21153846153847</v>
      </c>
      <c r="G57" s="94">
        <f>D57/C57*100</f>
        <v>10.107758620689655</v>
      </c>
      <c r="H57" s="92">
        <f t="shared" si="7"/>
        <v>987</v>
      </c>
      <c r="I57" s="92">
        <f t="shared" si="5"/>
        <v>4171</v>
      </c>
    </row>
    <row r="58" spans="1:9" s="142" customFormat="1" ht="18.75" thickBot="1">
      <c r="A58" s="90" t="s">
        <v>25</v>
      </c>
      <c r="B58" s="113">
        <f>B52-B53-B56-B55-B54-B57</f>
        <v>6087.700000000002</v>
      </c>
      <c r="C58" s="113">
        <f>C52-C53-C56-C55-C54-C57</f>
        <v>18271.800000000003</v>
      </c>
      <c r="D58" s="113">
        <f>D52-D53-D56-D55-D54-D57</f>
        <v>2298.6000000000017</v>
      </c>
      <c r="E58" s="94">
        <f>D58/D52*100</f>
        <v>24.099139241568043</v>
      </c>
      <c r="F58" s="94">
        <f t="shared" si="6"/>
        <v>37.758102403206486</v>
      </c>
      <c r="G58" s="94">
        <f t="shared" si="4"/>
        <v>12.580041375233975</v>
      </c>
      <c r="H58" s="92">
        <f>B58-D58</f>
        <v>3789.1</v>
      </c>
      <c r="I58" s="92">
        <f>C58-D58</f>
        <v>15973.2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</f>
        <v>1036.6</v>
      </c>
      <c r="E60" s="3">
        <f>D60/D155*100</f>
        <v>0.19086088274355067</v>
      </c>
      <c r="F60" s="3">
        <f>D60/B60*100</f>
        <v>63.591190724495426</v>
      </c>
      <c r="G60" s="3">
        <f t="shared" si="4"/>
        <v>10.094950577007351</v>
      </c>
      <c r="H60" s="36">
        <f>B60-D60</f>
        <v>593.5</v>
      </c>
      <c r="I60" s="36">
        <f t="shared" si="5"/>
        <v>9231.9</v>
      </c>
      <c r="J60" s="142"/>
    </row>
    <row r="61" spans="1:9" s="142" customFormat="1" ht="18">
      <c r="A61" s="90" t="s">
        <v>3</v>
      </c>
      <c r="B61" s="112">
        <v>1170.2</v>
      </c>
      <c r="C61" s="113">
        <v>3626.9</v>
      </c>
      <c r="D61" s="92">
        <f>80.6+106+88.7+4.1+50.7+38.1+180.6+95.6+203.1</f>
        <v>847.5000000000001</v>
      </c>
      <c r="E61" s="94">
        <f>D61/D60*100</f>
        <v>81.75766930349221</v>
      </c>
      <c r="F61" s="94">
        <f t="shared" si="6"/>
        <v>72.42351734746197</v>
      </c>
      <c r="G61" s="94">
        <f t="shared" si="4"/>
        <v>23.367062780887263</v>
      </c>
      <c r="H61" s="92">
        <f t="shared" si="7"/>
        <v>322.69999999999993</v>
      </c>
      <c r="I61" s="92">
        <f t="shared" si="5"/>
        <v>2779.4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298.6</v>
      </c>
      <c r="C63" s="113">
        <v>475.3</v>
      </c>
      <c r="D63" s="92">
        <f>9.6+44+118.7+0.1</f>
        <v>172.4</v>
      </c>
      <c r="E63" s="94">
        <f>D63/D60*100</f>
        <v>16.631294617017172</v>
      </c>
      <c r="F63" s="94">
        <f t="shared" si="6"/>
        <v>57.73610180843938</v>
      </c>
      <c r="G63" s="94">
        <f t="shared" si="4"/>
        <v>36.27182831895645</v>
      </c>
      <c r="H63" s="92">
        <f t="shared" si="7"/>
        <v>126.20000000000002</v>
      </c>
      <c r="I63" s="92">
        <f t="shared" si="5"/>
        <v>302.9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16.69999999999979</v>
      </c>
      <c r="E65" s="94">
        <f>D65/D60*100</f>
        <v>1.6110360794906224</v>
      </c>
      <c r="F65" s="94">
        <f t="shared" si="6"/>
        <v>10.353378797272043</v>
      </c>
      <c r="G65" s="94">
        <f t="shared" si="4"/>
        <v>1.8605169340463217</v>
      </c>
      <c r="H65" s="92">
        <f t="shared" si="7"/>
        <v>144.60000000000005</v>
      </c>
      <c r="I65" s="92">
        <f t="shared" si="5"/>
        <v>880.9000000000005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286.4</v>
      </c>
      <c r="C70" s="35">
        <f>C71+C72</f>
        <v>525.3</v>
      </c>
      <c r="D70" s="36">
        <f>D71+D72</f>
        <v>174.3</v>
      </c>
      <c r="E70" s="27">
        <f>D70/D155*100</f>
        <v>0.03209246754987544</v>
      </c>
      <c r="F70" s="3">
        <f>D70/B70*100</f>
        <v>60.85893854748604</v>
      </c>
      <c r="G70" s="3">
        <f t="shared" si="4"/>
        <v>33.181039406053685</v>
      </c>
      <c r="H70" s="36">
        <f>B70-D70</f>
        <v>112.09999999999997</v>
      </c>
      <c r="I70" s="36">
        <f t="shared" si="5"/>
        <v>350.99999999999994</v>
      </c>
      <c r="J70" s="142"/>
    </row>
    <row r="71" spans="1:9" s="142" customFormat="1" ht="18">
      <c r="A71" s="90" t="s">
        <v>106</v>
      </c>
      <c r="B71" s="112">
        <v>217.3</v>
      </c>
      <c r="C71" s="113">
        <v>217.3</v>
      </c>
      <c r="D71" s="92">
        <f>50+117.3</f>
        <v>167.3</v>
      </c>
      <c r="E71" s="94">
        <f>D71/D70*100</f>
        <v>95.9839357429719</v>
      </c>
      <c r="F71" s="94">
        <f t="shared" si="6"/>
        <v>76.99033594109525</v>
      </c>
      <c r="G71" s="94">
        <f t="shared" si="4"/>
        <v>76.99033594109525</v>
      </c>
      <c r="H71" s="92">
        <f t="shared" si="7"/>
        <v>50</v>
      </c>
      <c r="I71" s="92">
        <f t="shared" si="5"/>
        <v>50</v>
      </c>
    </row>
    <row r="72" spans="1:9" s="142" customFormat="1" ht="18.75" thickBot="1">
      <c r="A72" s="90" t="s">
        <v>107</v>
      </c>
      <c r="B72" s="112">
        <f>91.8-22.7</f>
        <v>69.1</v>
      </c>
      <c r="C72" s="113">
        <f>396.5-65.8-22.7</f>
        <v>308</v>
      </c>
      <c r="D72" s="92">
        <f>0.6+6.4</f>
        <v>7</v>
      </c>
      <c r="E72" s="94">
        <f>D72/D71*100</f>
        <v>4.184100418410042</v>
      </c>
      <c r="F72" s="94">
        <f t="shared" si="6"/>
        <v>10.130246020260493</v>
      </c>
      <c r="G72" s="94">
        <f t="shared" si="4"/>
        <v>2.272727272727273</v>
      </c>
      <c r="H72" s="92">
        <f t="shared" si="7"/>
        <v>62.099999999999994</v>
      </c>
      <c r="I72" s="92">
        <f t="shared" si="5"/>
        <v>301</v>
      </c>
    </row>
    <row r="73" spans="1:10" ht="38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9.5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9.5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9.5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9.5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9.5" thickBot="1">
      <c r="A78" s="21" t="s">
        <v>11</v>
      </c>
      <c r="B78" s="42">
        <v>3333.3</v>
      </c>
      <c r="C78" s="49">
        <v>10000</v>
      </c>
      <c r="D78" s="50"/>
      <c r="E78" s="30"/>
      <c r="F78" s="30"/>
      <c r="G78" s="30"/>
      <c r="H78" s="50">
        <f>B78-D78</f>
        <v>3333.3</v>
      </c>
      <c r="I78" s="50">
        <f t="shared" si="5"/>
        <v>10000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.75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9.5" thickBot="1">
      <c r="A91" s="11" t="s">
        <v>8</v>
      </c>
      <c r="B91" s="41">
        <v>74175.7</v>
      </c>
      <c r="C91" s="35">
        <f>208452.8+200</f>
        <v>208652.8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</f>
        <v>52263.9</v>
      </c>
      <c r="E91" s="3">
        <f>D91/D155*100</f>
        <v>9.622934680320913</v>
      </c>
      <c r="F91" s="3">
        <f aca="true" t="shared" si="10" ref="F91:F97">D91/B91*100</f>
        <v>70.4595979545862</v>
      </c>
      <c r="G91" s="3">
        <f t="shared" si="8"/>
        <v>25.048261993129255</v>
      </c>
      <c r="H91" s="36">
        <f aca="true" t="shared" si="11" ref="H91:H97">B91-D91</f>
        <v>21911.799999999996</v>
      </c>
      <c r="I91" s="36">
        <f t="shared" si="9"/>
        <v>156388.9</v>
      </c>
      <c r="J91" s="142"/>
    </row>
    <row r="92" spans="1:9" s="142" customFormat="1" ht="21.75" customHeight="1">
      <c r="A92" s="90" t="s">
        <v>3</v>
      </c>
      <c r="B92" s="112">
        <v>69303.9</v>
      </c>
      <c r="C92" s="113">
        <f>195523.2+200</f>
        <v>195723.2</v>
      </c>
      <c r="D92" s="92">
        <f>244+2447.7+2707.4+7.9+32.8+292+16+4.4+487.2+6367.9-0.1+2554.5+39.8+0.3+122+1.4+575.3+1176+3828+1657.6+10+5.7+877.3+7018.3+1997.5+99.9+196.5+40.7+134.2+1.1+1320.5+3625.9+1272.5-0.3+130.1+0.9+1054+1991.7+5764.4+865.1+404.9+294.9+22.6</f>
        <v>49690.499999999985</v>
      </c>
      <c r="E92" s="94">
        <f>D92/D91*100</f>
        <v>95.0761424233553</v>
      </c>
      <c r="F92" s="94">
        <f t="shared" si="10"/>
        <v>71.69942817070898</v>
      </c>
      <c r="G92" s="94">
        <f t="shared" si="8"/>
        <v>25.3881502039615</v>
      </c>
      <c r="H92" s="92">
        <f t="shared" si="11"/>
        <v>19613.40000000001</v>
      </c>
      <c r="I92" s="92">
        <f t="shared" si="9"/>
        <v>146032.7</v>
      </c>
    </row>
    <row r="93" spans="1:9" s="142" customFormat="1" ht="18">
      <c r="A93" s="90" t="s">
        <v>23</v>
      </c>
      <c r="B93" s="112">
        <v>1313.2</v>
      </c>
      <c r="C93" s="113">
        <v>2704.7</v>
      </c>
      <c r="D93" s="92">
        <f>56.2+5.4+7.1+340.1+77+0.5+3+170+5.7+0.1+23.6+4.9</f>
        <v>693.6</v>
      </c>
      <c r="E93" s="94">
        <f>D93/D91*100</f>
        <v>1.3271110651903129</v>
      </c>
      <c r="F93" s="94">
        <f t="shared" si="10"/>
        <v>52.817544928419125</v>
      </c>
      <c r="G93" s="94">
        <f t="shared" si="8"/>
        <v>25.644248900062856</v>
      </c>
      <c r="H93" s="92">
        <f t="shared" si="11"/>
        <v>619.6</v>
      </c>
      <c r="I93" s="92">
        <f t="shared" si="9"/>
        <v>2011.1</v>
      </c>
    </row>
    <row r="94" spans="1:9" s="142" customFormat="1" ht="18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.75" thickBot="1">
      <c r="A95" s="90" t="s">
        <v>25</v>
      </c>
      <c r="B95" s="113">
        <f>B91-B92-B93-B94</f>
        <v>3558.600000000003</v>
      </c>
      <c r="C95" s="113">
        <f>C91-C92-C93-C94</f>
        <v>10224.899999999976</v>
      </c>
      <c r="D95" s="113">
        <f>D91-D92-D93-D94</f>
        <v>1879.800000000016</v>
      </c>
      <c r="E95" s="94">
        <f>D95/D91*100</f>
        <v>3.5967465114543997</v>
      </c>
      <c r="F95" s="94">
        <f t="shared" si="10"/>
        <v>52.82414432642091</v>
      </c>
      <c r="G95" s="94">
        <f>D95/C95*100</f>
        <v>18.384531878062578</v>
      </c>
      <c r="H95" s="92">
        <f t="shared" si="11"/>
        <v>1678.799999999987</v>
      </c>
      <c r="I95" s="92">
        <f>C95-D95</f>
        <v>8345.09999999996</v>
      </c>
    </row>
    <row r="96" spans="1:10" ht="18.75">
      <c r="A96" s="75" t="s">
        <v>10</v>
      </c>
      <c r="B96" s="83">
        <f>37189-185.6</f>
        <v>37003.4</v>
      </c>
      <c r="C96" s="78">
        <f>83543+41100</f>
        <v>124643</v>
      </c>
      <c r="D96" s="77">
        <f>550.6+16+384.3+525.5+369.8+2.6+13.2+66.6+29.8+815.4+66.6+46.7+1198.1+490.3+154+72.1+121.6+525.1+495.6+452.5+67.7+766.7+27.8+2611.4+110.1+3.8+3.3+441.8+656.5+3.5+157.9+215.4</f>
        <v>11462.299999999997</v>
      </c>
      <c r="E96" s="74">
        <f>D96/D155*100</f>
        <v>2.110461794589427</v>
      </c>
      <c r="F96" s="76">
        <f t="shared" si="10"/>
        <v>30.97634271445326</v>
      </c>
      <c r="G96" s="73">
        <f>D96/C96*100</f>
        <v>9.196104073233153</v>
      </c>
      <c r="H96" s="77">
        <f t="shared" si="11"/>
        <v>25541.100000000006</v>
      </c>
      <c r="I96" s="79">
        <f>C96-D96</f>
        <v>113180.7</v>
      </c>
      <c r="J96" s="142"/>
    </row>
    <row r="97" spans="1:9" s="142" customFormat="1" ht="18.75" thickBot="1">
      <c r="A97" s="115" t="s">
        <v>81</v>
      </c>
      <c r="B97" s="116">
        <v>6827.4</v>
      </c>
      <c r="C97" s="117">
        <v>16376.6</v>
      </c>
      <c r="D97" s="118">
        <f>101+2.6+598.7+1.6+2603.8+3.8</f>
        <v>3311.5000000000005</v>
      </c>
      <c r="E97" s="119">
        <f>D97/D96*100</f>
        <v>28.890362318208396</v>
      </c>
      <c r="F97" s="120">
        <f t="shared" si="10"/>
        <v>48.503090488326464</v>
      </c>
      <c r="G97" s="121">
        <f>D97/C97*100</f>
        <v>20.22092497832273</v>
      </c>
      <c r="H97" s="122">
        <f t="shared" si="11"/>
        <v>3515.899999999999</v>
      </c>
      <c r="I97" s="111">
        <f>C97-D97</f>
        <v>13065.1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9.5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9.5" thickBot="1">
      <c r="A103" s="11" t="s">
        <v>9</v>
      </c>
      <c r="B103" s="82">
        <f>22511.2+15.1</f>
        <v>22526.3</v>
      </c>
      <c r="C103" s="65">
        <f>73778+7.6+15.1</f>
        <v>73800.70000000001</v>
      </c>
      <c r="D103" s="61">
        <f>152.2+12.4+164.7+14+1585.4+13.1+10.2+18+148.6+2141.8+73.9+131.3+1879.3+351.3+97.1+16.6+48.3+0.1+592.9+250.5+1840.9+85.4+148.3-0.2+534.2+1861+58.9+713.5+44.9+41.8+28.7+0.2+244.7+2133</f>
        <v>15437</v>
      </c>
      <c r="E103" s="16">
        <f>D103/D155*100</f>
        <v>2.8422915752577578</v>
      </c>
      <c r="F103" s="16">
        <f>D103/B103*100</f>
        <v>68.52878635195306</v>
      </c>
      <c r="G103" s="16">
        <f aca="true" t="shared" si="12" ref="G103:G153">D103/C103*100</f>
        <v>20.91714577233007</v>
      </c>
      <c r="H103" s="61">
        <f aca="true" t="shared" si="13" ref="H103:H153">B103-D103</f>
        <v>7089.299999999999</v>
      </c>
      <c r="I103" s="61">
        <f aca="true" t="shared" si="14" ref="I103:I153">C103-D103</f>
        <v>58363.70000000001</v>
      </c>
      <c r="J103" s="84"/>
    </row>
    <row r="104" spans="1:9" s="142" customFormat="1" ht="18.75" customHeight="1">
      <c r="A104" s="90" t="s">
        <v>3</v>
      </c>
      <c r="B104" s="104">
        <v>108.7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108.7</v>
      </c>
      <c r="I104" s="105">
        <f t="shared" si="14"/>
        <v>543.6</v>
      </c>
    </row>
    <row r="105" spans="1:9" s="142" customFormat="1" ht="18">
      <c r="A105" s="107" t="s">
        <v>46</v>
      </c>
      <c r="B105" s="91">
        <f>20095.2+15.1</f>
        <v>20110.3</v>
      </c>
      <c r="C105" s="92">
        <f>65554.9+7.6+15.1</f>
        <v>65577.6</v>
      </c>
      <c r="D105" s="92">
        <f>152.1+12.4+164.7+14+1585.4+8+18+148.5+2111.8+73.9+131.3+1879.3+114.9+217.3+66.2+14+0.1+582.9+250.5+1833.3+55+120.2+529.4+1861+47.8+713.5+1.8+35.2+244.7+2133</f>
        <v>15120.2</v>
      </c>
      <c r="E105" s="94">
        <f>D105/D103*100</f>
        <v>97.94778778260024</v>
      </c>
      <c r="F105" s="94">
        <f aca="true" t="shared" si="15" ref="F105:F153">D105/B105*100</f>
        <v>75.1863472946699</v>
      </c>
      <c r="G105" s="94">
        <f t="shared" si="12"/>
        <v>23.056958473625137</v>
      </c>
      <c r="H105" s="92">
        <f t="shared" si="13"/>
        <v>4990.0999999999985</v>
      </c>
      <c r="I105" s="92">
        <f t="shared" si="14"/>
        <v>50457.40000000001</v>
      </c>
    </row>
    <row r="106" spans="1:9" s="142" customFormat="1" ht="54.7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.75" thickBot="1">
      <c r="A107" s="108" t="s">
        <v>25</v>
      </c>
      <c r="B107" s="109">
        <f>B103-B104-B105</f>
        <v>2307.2999999999993</v>
      </c>
      <c r="C107" s="109">
        <f>C103-C104-C105</f>
        <v>7679.5</v>
      </c>
      <c r="D107" s="109">
        <f>D103-D104-D105</f>
        <v>316.7999999999993</v>
      </c>
      <c r="E107" s="110">
        <f>D107/D103*100</f>
        <v>2.0522122173997492</v>
      </c>
      <c r="F107" s="110">
        <f t="shared" si="15"/>
        <v>13.73033415680663</v>
      </c>
      <c r="G107" s="110">
        <f t="shared" si="12"/>
        <v>4.125268572172658</v>
      </c>
      <c r="H107" s="111">
        <f t="shared" si="13"/>
        <v>1990.5</v>
      </c>
      <c r="I107" s="111">
        <f t="shared" si="14"/>
        <v>7362.700000000001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160592.7</v>
      </c>
      <c r="C108" s="63">
        <f>SUM(C109:C152)-C116-C121+C153-C143-C144-C110-C113-C124-C125-C141-C134-C132-C139-C119</f>
        <v>642415.59</v>
      </c>
      <c r="D108" s="63">
        <f>SUM(D109:D152)-D116-D121+D153-D143-D144-D110-D113-D124-D125-D141-D134-D132-D139-D119</f>
        <v>127517.99999999996</v>
      </c>
      <c r="E108" s="64">
        <f>D108/D155*100</f>
        <v>23.478871354130895</v>
      </c>
      <c r="F108" s="64">
        <f>D108/B108*100</f>
        <v>79.40460556426285</v>
      </c>
      <c r="G108" s="64">
        <f t="shared" si="12"/>
        <v>19.849767344531593</v>
      </c>
      <c r="H108" s="63">
        <f t="shared" si="13"/>
        <v>33074.700000000055</v>
      </c>
      <c r="I108" s="63">
        <f t="shared" si="14"/>
        <v>514897.59</v>
      </c>
      <c r="J108" s="100"/>
    </row>
    <row r="109" spans="1:9" s="142" customFormat="1" ht="37.5">
      <c r="A109" s="85" t="s">
        <v>50</v>
      </c>
      <c r="B109" s="150">
        <v>1816.7</v>
      </c>
      <c r="C109" s="135">
        <v>4983.7</v>
      </c>
      <c r="D109" s="86">
        <f>1.8+140.5+138.5+0.9+33+80.9+13.3+0.1+53.3+109+1.4+124.9+19.8+24.9+9+3.6+91.3+61.8+18.7</f>
        <v>926.6999999999999</v>
      </c>
      <c r="E109" s="87">
        <f>D109/D108*100</f>
        <v>0.7267209335152686</v>
      </c>
      <c r="F109" s="87">
        <f t="shared" si="15"/>
        <v>51.010073209665876</v>
      </c>
      <c r="G109" s="87">
        <f t="shared" si="12"/>
        <v>18.594618456167105</v>
      </c>
      <c r="H109" s="88">
        <f t="shared" si="13"/>
        <v>890.0000000000001</v>
      </c>
      <c r="I109" s="88">
        <f t="shared" si="14"/>
        <v>4057</v>
      </c>
    </row>
    <row r="110" spans="1:9" s="142" customFormat="1" ht="18">
      <c r="A110" s="90" t="s">
        <v>23</v>
      </c>
      <c r="B110" s="91">
        <v>965.2</v>
      </c>
      <c r="C110" s="92">
        <v>2332.2</v>
      </c>
      <c r="D110" s="93">
        <f>2.4+138.5+0.9+33.1+80.9+53.3+1.8+1.1+124.9+24.9+6.2+38.5</f>
        <v>506.50000000000006</v>
      </c>
      <c r="E110" s="94">
        <f>D110/D109*100</f>
        <v>54.65630732707457</v>
      </c>
      <c r="F110" s="94">
        <f t="shared" si="15"/>
        <v>52.476170741815174</v>
      </c>
      <c r="G110" s="94">
        <f t="shared" si="12"/>
        <v>21.717691450132925</v>
      </c>
      <c r="H110" s="92">
        <f t="shared" si="13"/>
        <v>458.7</v>
      </c>
      <c r="I110" s="92">
        <f t="shared" si="14"/>
        <v>1825.6999999999998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3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100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3"/>
        <v>100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3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3"/>
        <v>0</v>
      </c>
      <c r="I114" s="88">
        <f t="shared" si="14"/>
        <v>0</v>
      </c>
    </row>
    <row r="115" spans="1:9" s="142" customFormat="1" ht="37.5">
      <c r="A115" s="95" t="s">
        <v>36</v>
      </c>
      <c r="B115" s="138">
        <v>2055.9</v>
      </c>
      <c r="C115" s="88">
        <v>5785.2</v>
      </c>
      <c r="D115" s="86">
        <f>187.7+10.4+531.5+38.4+44.9+0.1+53.3+13.7+14.6+4.3+409.7+22.6</f>
        <v>1331.1999999999998</v>
      </c>
      <c r="E115" s="87">
        <f>D115/D108*100</f>
        <v>1.0439310528709675</v>
      </c>
      <c r="F115" s="87">
        <f t="shared" si="15"/>
        <v>64.75023104236585</v>
      </c>
      <c r="G115" s="87">
        <f t="shared" si="12"/>
        <v>23.010440434211436</v>
      </c>
      <c r="H115" s="88">
        <f t="shared" si="13"/>
        <v>724.7000000000003</v>
      </c>
      <c r="I115" s="88">
        <f t="shared" si="14"/>
        <v>4454</v>
      </c>
    </row>
    <row r="116" spans="1:9" s="142" customFormat="1" ht="18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3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3"/>
        <v>0</v>
      </c>
      <c r="I117" s="96">
        <f t="shared" si="14"/>
        <v>0</v>
      </c>
    </row>
    <row r="118" spans="1:9" s="142" customFormat="1" ht="37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3"/>
        <v>0</v>
      </c>
      <c r="I118" s="88">
        <f t="shared" si="14"/>
        <v>0</v>
      </c>
    </row>
    <row r="119" spans="1:9" s="142" customFormat="1" ht="18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8.75">
      <c r="A120" s="95" t="s">
        <v>13</v>
      </c>
      <c r="B120" s="138">
        <v>405.7</v>
      </c>
      <c r="C120" s="96">
        <v>1024.8</v>
      </c>
      <c r="D120" s="86">
        <f>80.5+0.2+38.8+80.5+0.8+10+10.3+80.5</f>
        <v>301.6</v>
      </c>
      <c r="E120" s="87">
        <f>D120/D108*100</f>
        <v>0.2365156291660786</v>
      </c>
      <c r="F120" s="87">
        <f t="shared" si="15"/>
        <v>74.34064579738724</v>
      </c>
      <c r="G120" s="87">
        <f t="shared" si="12"/>
        <v>29.430132708821237</v>
      </c>
      <c r="H120" s="88">
        <f t="shared" si="13"/>
        <v>104.09999999999997</v>
      </c>
      <c r="I120" s="88">
        <f t="shared" si="14"/>
        <v>723.1999999999999</v>
      </c>
    </row>
    <row r="121" spans="1:9" s="101" customFormat="1" ht="18">
      <c r="A121" s="98" t="s">
        <v>41</v>
      </c>
      <c r="B121" s="91">
        <v>322.1</v>
      </c>
      <c r="C121" s="92">
        <v>724.7</v>
      </c>
      <c r="D121" s="93">
        <f>80.5+80.5+80.5</f>
        <v>241.5</v>
      </c>
      <c r="E121" s="94">
        <f>D121/D120*100</f>
        <v>80.07294429708223</v>
      </c>
      <c r="F121" s="94">
        <f t="shared" si="15"/>
        <v>74.97671530580564</v>
      </c>
      <c r="G121" s="94">
        <f t="shared" si="12"/>
        <v>33.324134124465296</v>
      </c>
      <c r="H121" s="92">
        <f t="shared" si="13"/>
        <v>80.60000000000002</v>
      </c>
      <c r="I121" s="92">
        <f t="shared" si="14"/>
        <v>483.20000000000005</v>
      </c>
    </row>
    <row r="122" spans="1:9" s="100" customFormat="1" ht="18.75">
      <c r="A122" s="95" t="s">
        <v>102</v>
      </c>
      <c r="B122" s="138">
        <v>80</v>
      </c>
      <c r="C122" s="96">
        <v>347</v>
      </c>
      <c r="D122" s="86">
        <v>34.5</v>
      </c>
      <c r="E122" s="87">
        <f>D122/D108*100</f>
        <v>0.027055003999435386</v>
      </c>
      <c r="F122" s="87">
        <f t="shared" si="15"/>
        <v>43.125</v>
      </c>
      <c r="G122" s="87">
        <f t="shared" si="12"/>
        <v>9.94236311239193</v>
      </c>
      <c r="H122" s="88">
        <f t="shared" si="13"/>
        <v>45.5</v>
      </c>
      <c r="I122" s="88">
        <f t="shared" si="14"/>
        <v>312.5</v>
      </c>
    </row>
    <row r="123" spans="1:9" s="100" customFormat="1" ht="21.75" customHeight="1">
      <c r="A123" s="95" t="s">
        <v>92</v>
      </c>
      <c r="B123" s="138">
        <v>0</v>
      </c>
      <c r="C123" s="96">
        <f>86+920</f>
        <v>1006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3"/>
        <v>0</v>
      </c>
      <c r="I123" s="88">
        <f t="shared" si="14"/>
        <v>1006</v>
      </c>
    </row>
    <row r="124" spans="1:9" s="102" customFormat="1" ht="18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3"/>
        <v>0</v>
      </c>
      <c r="I124" s="92">
        <f t="shared" si="14"/>
        <v>0</v>
      </c>
    </row>
    <row r="125" spans="1:9" s="102" customFormat="1" ht="18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3"/>
        <v>0</v>
      </c>
      <c r="I125" s="92">
        <f t="shared" si="14"/>
        <v>0</v>
      </c>
    </row>
    <row r="126" spans="1:9" s="100" customFormat="1" ht="37.5">
      <c r="A126" s="95" t="s">
        <v>93</v>
      </c>
      <c r="B126" s="138">
        <v>8106.2</v>
      </c>
      <c r="C126" s="96">
        <f>6156.2+17413.4</f>
        <v>23569.600000000002</v>
      </c>
      <c r="D126" s="97">
        <f>871.9+408.1+585.9+900.5+901.8+879.7+893+994.8</f>
        <v>6435.7</v>
      </c>
      <c r="E126" s="99">
        <f>D126/D108*100</f>
        <v>5.0468953402656895</v>
      </c>
      <c r="F126" s="87">
        <f t="shared" si="15"/>
        <v>79.3923169919321</v>
      </c>
      <c r="G126" s="87">
        <f t="shared" si="12"/>
        <v>27.305087909849973</v>
      </c>
      <c r="H126" s="88">
        <f t="shared" si="13"/>
        <v>1670.5</v>
      </c>
      <c r="I126" s="88">
        <f t="shared" si="14"/>
        <v>17133.9</v>
      </c>
    </row>
    <row r="127" spans="1:9" s="100" customFormat="1" ht="18.7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3"/>
        <v>0</v>
      </c>
      <c r="I127" s="88">
        <f t="shared" si="14"/>
        <v>0</v>
      </c>
    </row>
    <row r="128" spans="1:13" s="100" customFormat="1" ht="37.5">
      <c r="A128" s="95" t="s">
        <v>98</v>
      </c>
      <c r="B128" s="138">
        <v>279</v>
      </c>
      <c r="C128" s="96">
        <v>483</v>
      </c>
      <c r="D128" s="97">
        <v>2.2</v>
      </c>
      <c r="E128" s="99">
        <f>D128/D108*100</f>
        <v>0.0017252466318480534</v>
      </c>
      <c r="F128" s="87">
        <f t="shared" si="15"/>
        <v>0.7885304659498209</v>
      </c>
      <c r="G128" s="87">
        <f t="shared" si="12"/>
        <v>0.45548654244306425</v>
      </c>
      <c r="H128" s="88">
        <f t="shared" si="13"/>
        <v>276.8</v>
      </c>
      <c r="I128" s="88">
        <f t="shared" si="14"/>
        <v>480.8</v>
      </c>
      <c r="M128" s="89"/>
    </row>
    <row r="129" spans="1:13" s="100" customFormat="1" ht="37.5">
      <c r="A129" s="95" t="s">
        <v>83</v>
      </c>
      <c r="B129" s="138">
        <v>115.7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3"/>
        <v>115.7</v>
      </c>
      <c r="I129" s="88">
        <f t="shared" si="14"/>
        <v>154.3</v>
      </c>
      <c r="M129" s="89"/>
    </row>
    <row r="130" spans="1:9" s="100" customFormat="1" ht="18.7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3"/>
        <v>0</v>
      </c>
      <c r="I130" s="88">
        <f t="shared" si="14"/>
        <v>0</v>
      </c>
    </row>
    <row r="131" spans="1:13" s="100" customFormat="1" ht="37.5">
      <c r="A131" s="95" t="s">
        <v>55</v>
      </c>
      <c r="B131" s="138">
        <v>263.3</v>
      </c>
      <c r="C131" s="96">
        <v>1003.9</v>
      </c>
      <c r="D131" s="97">
        <f>7.7+12.9+2.8+0.3+0.9+48+9.2+16+18.7+7+7.7</f>
        <v>131.2</v>
      </c>
      <c r="E131" s="99">
        <f>D131/D108*100</f>
        <v>0.10288743549930209</v>
      </c>
      <c r="F131" s="87">
        <f t="shared" si="15"/>
        <v>49.82909229016331</v>
      </c>
      <c r="G131" s="87">
        <f t="shared" si="12"/>
        <v>13.069030779958164</v>
      </c>
      <c r="H131" s="88">
        <f t="shared" si="13"/>
        <v>132.10000000000002</v>
      </c>
      <c r="I131" s="88">
        <f t="shared" si="14"/>
        <v>872.7</v>
      </c>
      <c r="M131" s="89"/>
    </row>
    <row r="132" spans="1:13" s="101" customFormat="1" ht="18">
      <c r="A132" s="90" t="s">
        <v>86</v>
      </c>
      <c r="B132" s="91">
        <v>90.4</v>
      </c>
      <c r="C132" s="92">
        <v>553.3</v>
      </c>
      <c r="D132" s="93">
        <f>7.7+48+7.7+7.7</f>
        <v>71.10000000000001</v>
      </c>
      <c r="E132" s="94">
        <f>D132/D131*100</f>
        <v>54.19207317073172</v>
      </c>
      <c r="F132" s="94">
        <f>D132/B132*100</f>
        <v>78.65044247787611</v>
      </c>
      <c r="G132" s="94">
        <f t="shared" si="12"/>
        <v>12.850171697090188</v>
      </c>
      <c r="H132" s="92">
        <f t="shared" si="13"/>
        <v>19.299999999999997</v>
      </c>
      <c r="I132" s="92">
        <f t="shared" si="14"/>
        <v>482.19999999999993</v>
      </c>
      <c r="M132" s="132"/>
    </row>
    <row r="133" spans="1:9" s="100" customFormat="1" ht="37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3"/>
        <v>0</v>
      </c>
      <c r="I133" s="88">
        <f t="shared" si="14"/>
        <v>250</v>
      </c>
    </row>
    <row r="134" spans="1:9" s="101" customFormat="1" ht="18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3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3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3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988.4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3"/>
        <v>988.4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38">
        <v>70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3"/>
        <v>70</v>
      </c>
      <c r="I138" s="88">
        <f t="shared" si="14"/>
        <v>350</v>
      </c>
    </row>
    <row r="139" spans="1:9" s="101" customFormat="1" ht="18">
      <c r="A139" s="90" t="s">
        <v>86</v>
      </c>
      <c r="B139" s="91">
        <v>20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20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249.9</v>
      </c>
      <c r="C140" s="96">
        <v>642.9</v>
      </c>
      <c r="D140" s="97">
        <f>3.4+29.8+0.5+0.6+0.5+7</f>
        <v>41.800000000000004</v>
      </c>
      <c r="E140" s="99">
        <f>D140/D108*100</f>
        <v>0.032779686005113017</v>
      </c>
      <c r="F140" s="87">
        <f>D140/B140*100</f>
        <v>16.726690676270508</v>
      </c>
      <c r="G140" s="87">
        <f>D140/C140*100</f>
        <v>6.50178876963758</v>
      </c>
      <c r="H140" s="88">
        <f t="shared" si="13"/>
        <v>208.1</v>
      </c>
      <c r="I140" s="88">
        <f t="shared" si="14"/>
        <v>601.1</v>
      </c>
    </row>
    <row r="141" spans="1:9" s="101" customFormat="1" ht="18">
      <c r="A141" s="90" t="s">
        <v>23</v>
      </c>
      <c r="B141" s="91">
        <v>209.9</v>
      </c>
      <c r="C141" s="92">
        <v>524.9</v>
      </c>
      <c r="D141" s="93">
        <f>0.4+29.8+0.5+0.6</f>
        <v>31.3</v>
      </c>
      <c r="E141" s="94">
        <f>D141/D140*100</f>
        <v>74.88038277511961</v>
      </c>
      <c r="F141" s="94">
        <f t="shared" si="15"/>
        <v>14.911862791805621</v>
      </c>
      <c r="G141" s="94">
        <f>D141/C141*100</f>
        <v>5.963040579157935</v>
      </c>
      <c r="H141" s="92">
        <f t="shared" si="13"/>
        <v>178.6</v>
      </c>
      <c r="I141" s="92">
        <f t="shared" si="14"/>
        <v>493.59999999999997</v>
      </c>
    </row>
    <row r="142" spans="1:9" s="100" customFormat="1" ht="18.75">
      <c r="A142" s="95" t="s">
        <v>94</v>
      </c>
      <c r="B142" s="138">
        <v>719.3</v>
      </c>
      <c r="C142" s="96">
        <v>2262.8</v>
      </c>
      <c r="D142" s="97">
        <f>33.6+100.1+61.4+1.9+88.9+76.4+140.9+13.9</f>
        <v>517.0999999999999</v>
      </c>
      <c r="E142" s="99">
        <f>D142/D108*100</f>
        <v>0.40551137878574006</v>
      </c>
      <c r="F142" s="87">
        <f t="shared" si="15"/>
        <v>71.88933685527596</v>
      </c>
      <c r="G142" s="87">
        <f t="shared" si="12"/>
        <v>22.852218490365914</v>
      </c>
      <c r="H142" s="88">
        <f t="shared" si="13"/>
        <v>202.20000000000005</v>
      </c>
      <c r="I142" s="88">
        <f t="shared" si="14"/>
        <v>1745.7000000000003</v>
      </c>
    </row>
    <row r="143" spans="1:9" s="101" customFormat="1" ht="18">
      <c r="A143" s="98" t="s">
        <v>41</v>
      </c>
      <c r="B143" s="91">
        <v>543.5</v>
      </c>
      <c r="C143" s="92">
        <v>1867.4</v>
      </c>
      <c r="D143" s="93">
        <f>33.6+99.1+51.9+81.4+59+82.2+5.6</f>
        <v>412.8</v>
      </c>
      <c r="E143" s="94">
        <f>D143/D142*100</f>
        <v>79.82982015084124</v>
      </c>
      <c r="F143" s="94">
        <f t="shared" si="15"/>
        <v>75.95216191352347</v>
      </c>
      <c r="G143" s="94">
        <f t="shared" si="12"/>
        <v>22.105601370890007</v>
      </c>
      <c r="H143" s="92">
        <f t="shared" si="13"/>
        <v>130.7</v>
      </c>
      <c r="I143" s="92">
        <f t="shared" si="14"/>
        <v>1454.6000000000001</v>
      </c>
    </row>
    <row r="144" spans="1:9" s="101" customFormat="1" ht="18">
      <c r="A144" s="90" t="s">
        <v>23</v>
      </c>
      <c r="B144" s="91">
        <v>27.3</v>
      </c>
      <c r="C144" s="92">
        <v>48</v>
      </c>
      <c r="D144" s="93">
        <f>9.3+7.4+6</f>
        <v>22.700000000000003</v>
      </c>
      <c r="E144" s="94">
        <f>D144/D142*100</f>
        <v>4.389866563527366</v>
      </c>
      <c r="F144" s="94">
        <f t="shared" si="15"/>
        <v>83.15018315018315</v>
      </c>
      <c r="G144" s="94">
        <f>D144/C144*100</f>
        <v>47.29166666666667</v>
      </c>
      <c r="H144" s="92">
        <f t="shared" si="13"/>
        <v>4.599999999999998</v>
      </c>
      <c r="I144" s="92">
        <f t="shared" si="14"/>
        <v>25.299999999999997</v>
      </c>
    </row>
    <row r="145" spans="1:9" s="100" customFormat="1" ht="33.75" customHeight="1">
      <c r="A145" s="103" t="s">
        <v>54</v>
      </c>
      <c r="B145" s="138">
        <v>563</v>
      </c>
      <c r="C145" s="96">
        <v>961</v>
      </c>
      <c r="D145" s="97"/>
      <c r="E145" s="99">
        <f>D145/D108*100</f>
        <v>0</v>
      </c>
      <c r="F145" s="87">
        <f t="shared" si="15"/>
        <v>0</v>
      </c>
      <c r="G145" s="87">
        <f t="shared" si="12"/>
        <v>0</v>
      </c>
      <c r="H145" s="88">
        <f t="shared" si="13"/>
        <v>563</v>
      </c>
      <c r="I145" s="88">
        <f t="shared" si="14"/>
        <v>961</v>
      </c>
    </row>
    <row r="146" spans="1:9" s="100" customFormat="1" ht="18.7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3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v>46218.6</v>
      </c>
      <c r="C147" s="96">
        <v>148561.8</v>
      </c>
      <c r="D147" s="97">
        <f>457.7+20.2+2395.4+103.8+376.7+1013.1+85.7+519.6+3989.1+192.1+9596.6+54.9+0.1+1136.8+45.8+142.4+633.4+904.4+5049.6+60.3+794.6</f>
        <v>27572.3</v>
      </c>
      <c r="E147" s="99">
        <f>D147/D108*100</f>
        <v>21.622280776047308</v>
      </c>
      <c r="F147" s="87">
        <f t="shared" si="15"/>
        <v>59.65628556468609</v>
      </c>
      <c r="G147" s="87">
        <f t="shared" si="12"/>
        <v>18.55948164332958</v>
      </c>
      <c r="H147" s="88">
        <f t="shared" si="13"/>
        <v>18646.3</v>
      </c>
      <c r="I147" s="88">
        <f t="shared" si="14"/>
        <v>120989.49999999999</v>
      </c>
    </row>
    <row r="148" spans="1:9" s="100" customFormat="1" ht="18.7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5"/>
        <v>#DIV/0!</v>
      </c>
      <c r="G148" s="87" t="e">
        <f t="shared" si="12"/>
        <v>#DIV/0!</v>
      </c>
      <c r="H148" s="88">
        <f t="shared" si="13"/>
        <v>0</v>
      </c>
      <c r="I148" s="88">
        <f t="shared" si="14"/>
        <v>0</v>
      </c>
    </row>
    <row r="149" spans="1:9" s="100" customFormat="1" ht="18.75">
      <c r="A149" s="103" t="s">
        <v>108</v>
      </c>
      <c r="B149" s="138">
        <v>18</v>
      </c>
      <c r="C149" s="96">
        <v>50</v>
      </c>
      <c r="D149" s="97">
        <f>1+0.7</f>
        <v>1.7</v>
      </c>
      <c r="E149" s="99">
        <f>D149/D110*100</f>
        <v>0.3356367226061204</v>
      </c>
      <c r="F149" s="87">
        <f>D149/B149*100</f>
        <v>9.444444444444445</v>
      </c>
      <c r="G149" s="87">
        <f>D149/C149*100</f>
        <v>3.4000000000000004</v>
      </c>
      <c r="H149" s="88">
        <f>B149-D149</f>
        <v>16.3</v>
      </c>
      <c r="I149" s="88">
        <f>C149-D149</f>
        <v>48.3</v>
      </c>
    </row>
    <row r="150" spans="1:9" s="100" customFormat="1" ht="18.7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0.023133988927053442</v>
      </c>
      <c r="F150" s="87">
        <f t="shared" si="15"/>
        <v>100</v>
      </c>
      <c r="G150" s="87">
        <f t="shared" si="12"/>
        <v>31.416400425985085</v>
      </c>
      <c r="H150" s="88">
        <f t="shared" si="13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185.6+4770</f>
        <v>4955.6</v>
      </c>
      <c r="C151" s="96">
        <f>509.5+13731.5</f>
        <v>14241</v>
      </c>
      <c r="D151" s="97">
        <f>469.6+898.6+871.8+55</f>
        <v>2295</v>
      </c>
      <c r="E151" s="99">
        <f>D151/D108*100</f>
        <v>1.7997459182233104</v>
      </c>
      <c r="F151" s="87">
        <f t="shared" si="15"/>
        <v>46.311243845346674</v>
      </c>
      <c r="G151" s="87">
        <f t="shared" si="12"/>
        <v>16.11544133136718</v>
      </c>
      <c r="H151" s="88">
        <f t="shared" si="13"/>
        <v>2660.6000000000004</v>
      </c>
      <c r="I151" s="88">
        <f t="shared" si="14"/>
        <v>11946</v>
      </c>
    </row>
    <row r="152" spans="1:9" s="100" customFormat="1" ht="19.5" customHeight="1">
      <c r="A152" s="95" t="s">
        <v>48</v>
      </c>
      <c r="B152" s="138">
        <v>70916.3</v>
      </c>
      <c r="C152" s="96">
        <v>365455.19</v>
      </c>
      <c r="D152" s="97">
        <f>9702+30405.7+10266.3+91.6-29196.2+1482.1+9293.3+20631.5+2864.5+2072.8+10611.8+26.4-6447.8-3782.8-4677.3+4676.1-2746.7-2356.3-5820.8+6091.9+14434.9+3293.3</f>
        <v>70916.29999999997</v>
      </c>
      <c r="E152" s="99">
        <f>D152/D108*100</f>
        <v>55.61277623551185</v>
      </c>
      <c r="F152" s="87">
        <f t="shared" si="15"/>
        <v>99.99999999999996</v>
      </c>
      <c r="G152" s="87">
        <f t="shared" si="12"/>
        <v>19.40492348733643</v>
      </c>
      <c r="H152" s="88">
        <f t="shared" si="13"/>
        <v>0</v>
      </c>
      <c r="I152" s="88">
        <f>C152-D152</f>
        <v>294538.89</v>
      </c>
    </row>
    <row r="153" spans="1:9" s="100" customFormat="1" ht="18.75">
      <c r="A153" s="95" t="s">
        <v>97</v>
      </c>
      <c r="B153" s="138">
        <v>22641.6</v>
      </c>
      <c r="C153" s="96">
        <v>67925</v>
      </c>
      <c r="D153" s="97">
        <f>1886.8+1886.8+1886.8+1886.8+1886.8+1886.8+1886.8+1886.8+1886.8</f>
        <v>16981.199999999997</v>
      </c>
      <c r="E153" s="99">
        <f>D153/D108*100</f>
        <v>13.316708229426435</v>
      </c>
      <c r="F153" s="87">
        <f t="shared" si="15"/>
        <v>74.99999999999999</v>
      </c>
      <c r="G153" s="87">
        <f t="shared" si="12"/>
        <v>24.99992638940007</v>
      </c>
      <c r="H153" s="88">
        <f t="shared" si="13"/>
        <v>5660.4000000000015</v>
      </c>
      <c r="I153" s="88">
        <f t="shared" si="14"/>
        <v>50943.8</v>
      </c>
    </row>
    <row r="154" spans="1:9" s="2" customFormat="1" ht="19.5" thickBot="1">
      <c r="A154" s="26" t="s">
        <v>27</v>
      </c>
      <c r="B154" s="139"/>
      <c r="C154" s="59"/>
      <c r="D154" s="40">
        <f>D43+D70+D73+D78+D80+D88+D103+D108+D101+D85+D99</f>
        <v>143307.19999999995</v>
      </c>
      <c r="E154" s="14"/>
      <c r="F154" s="14"/>
      <c r="G154" s="6"/>
      <c r="H154" s="48"/>
      <c r="I154" s="40"/>
    </row>
    <row r="155" spans="1:11" ht="19.5" thickBot="1">
      <c r="A155" s="11" t="s">
        <v>16</v>
      </c>
      <c r="B155" s="36">
        <f>B6+B18+B33+B43+B52+B60+B70+B73+B78+B80+B88+B91+B96+B103+B108+B101+B85+B99+B46</f>
        <v>809479.6</v>
      </c>
      <c r="C155" s="36">
        <f>C6+C18+C33+C43+C52+C60+C70+C73+C78+C80+C88+C91+C96+C103+C108+C101+C85+C99+C46</f>
        <v>2507681.6900000004</v>
      </c>
      <c r="D155" s="36">
        <f>D6+D18+D33+D43+D52+D60+D70+D73+D78+D80+D88+D91+D96+D103+D108+D101+D85+D99+D46</f>
        <v>543118.0999999999</v>
      </c>
      <c r="E155" s="25">
        <v>100</v>
      </c>
      <c r="F155" s="3">
        <f>D155/B155*100</f>
        <v>67.09472357302147</v>
      </c>
      <c r="G155" s="3">
        <f aca="true" t="shared" si="16" ref="G155:G161">D155/C155*100</f>
        <v>21.658175444109087</v>
      </c>
      <c r="H155" s="36">
        <f>B155-D155</f>
        <v>266361.5000000001</v>
      </c>
      <c r="I155" s="36">
        <f aca="true" t="shared" si="17" ref="I155:I161">C155-D155</f>
        <v>1964563.5900000005</v>
      </c>
      <c r="K155" s="143">
        <f>D155-114199.9-202905.8-214631.3</f>
        <v>11381.09999999986</v>
      </c>
    </row>
    <row r="156" spans="1:9" ht="18.75">
      <c r="A156" s="15" t="s">
        <v>5</v>
      </c>
      <c r="B156" s="47">
        <f>B8+B20+B34+B53+B61+B92+B116+B121+B47+B143+B134+B104</f>
        <v>325444.10000000003</v>
      </c>
      <c r="C156" s="47">
        <f>C8+C20+C34+C53+C61+C92+C116+C121+C47+C143+C134+C104</f>
        <v>987414.6</v>
      </c>
      <c r="D156" s="47">
        <f>D8+D20+D34+D53+D61+D92+D116+D121+D47+D143+D134+D104</f>
        <v>234703.09999999998</v>
      </c>
      <c r="E156" s="6">
        <f>D156/D155*100</f>
        <v>43.21400815034521</v>
      </c>
      <c r="F156" s="6">
        <f aca="true" t="shared" si="18" ref="F156:F161">D156/B156*100</f>
        <v>72.11779227215979</v>
      </c>
      <c r="G156" s="6">
        <f t="shared" si="16"/>
        <v>23.769458138455718</v>
      </c>
      <c r="H156" s="48">
        <f aca="true" t="shared" si="19" ref="H156:H161">B156-D156</f>
        <v>90741.00000000006</v>
      </c>
      <c r="I156" s="58">
        <f t="shared" si="17"/>
        <v>752711.5</v>
      </c>
    </row>
    <row r="157" spans="1:9" ht="18.75">
      <c r="A157" s="15" t="s">
        <v>0</v>
      </c>
      <c r="B157" s="88">
        <f>B11+B23+B36+B56+B63+B93+B50+B144+B110+B113+B97+B141+B130</f>
        <v>70720.59999999999</v>
      </c>
      <c r="C157" s="88">
        <f>C11+C23+C36+C56+C63+C93+C50+C144+C110+C113+C97+C141+C130</f>
        <v>125178.8</v>
      </c>
      <c r="D157" s="88">
        <f>D11+D23+D36+D56+D63+D93+D50+D144+D110+D113+D97+D141+D130</f>
        <v>39140.999999999985</v>
      </c>
      <c r="E157" s="6">
        <f>D157/D155*100</f>
        <v>7.206719864427276</v>
      </c>
      <c r="F157" s="6">
        <f t="shared" si="18"/>
        <v>55.34596708738329</v>
      </c>
      <c r="G157" s="6">
        <f t="shared" si="16"/>
        <v>31.26807414674049</v>
      </c>
      <c r="H157" s="48">
        <f>B157-D157</f>
        <v>31579.600000000006</v>
      </c>
      <c r="I157" s="58">
        <f t="shared" si="17"/>
        <v>86037.80000000002</v>
      </c>
    </row>
    <row r="158" spans="1:9" ht="18.75">
      <c r="A158" s="15" t="s">
        <v>1</v>
      </c>
      <c r="B158" s="149">
        <f>B22+B10+B55+B49+B62+B35+B125</f>
        <v>20597.8</v>
      </c>
      <c r="C158" s="149">
        <f>C22+C10+C55+C49+C62+C35+C125</f>
        <v>48385.3</v>
      </c>
      <c r="D158" s="149">
        <f>D22+D10+D55+D49+D62+D35+D125</f>
        <v>12308.399999999998</v>
      </c>
      <c r="E158" s="6">
        <f>D158/D155*100</f>
        <v>2.2662474331089317</v>
      </c>
      <c r="F158" s="6">
        <f t="shared" si="18"/>
        <v>59.75589626076571</v>
      </c>
      <c r="G158" s="6">
        <f t="shared" si="16"/>
        <v>25.438304609044476</v>
      </c>
      <c r="H158" s="48">
        <f t="shared" si="19"/>
        <v>8289.400000000001</v>
      </c>
      <c r="I158" s="58">
        <f t="shared" si="17"/>
        <v>36076.90000000001</v>
      </c>
    </row>
    <row r="159" spans="1:9" ht="21" customHeight="1">
      <c r="A159" s="15" t="s">
        <v>12</v>
      </c>
      <c r="B159" s="149">
        <f>B12+B24+B105+B64+B38+B94+B132+B57+B139+B119+B44</f>
        <v>26597.000000000004</v>
      </c>
      <c r="C159" s="149">
        <f>C12+C24+C105+C64+C38+C94+C132+C57+C139+C119+C44</f>
        <v>90000.30000000002</v>
      </c>
      <c r="D159" s="149">
        <f>D12+D24+D105+D64+D38+D94+D132+D57+D139+D119+D44</f>
        <v>18783.5</v>
      </c>
      <c r="E159" s="6">
        <f>D159/D155*100</f>
        <v>3.458455904894351</v>
      </c>
      <c r="F159" s="6">
        <f t="shared" si="18"/>
        <v>70.6226266120239</v>
      </c>
      <c r="G159" s="6">
        <f t="shared" si="16"/>
        <v>20.87048598726893</v>
      </c>
      <c r="H159" s="48">
        <f>B159-D159</f>
        <v>7813.500000000004</v>
      </c>
      <c r="I159" s="58">
        <f t="shared" si="17"/>
        <v>71216.80000000002</v>
      </c>
    </row>
    <row r="160" spans="1:9" ht="18.7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35.9</v>
      </c>
      <c r="E160" s="6">
        <f>D160/D155*100</f>
        <v>0.00660998040757618</v>
      </c>
      <c r="F160" s="6">
        <f t="shared" si="18"/>
        <v>68.25095057034221</v>
      </c>
      <c r="G160" s="6">
        <f t="shared" si="16"/>
        <v>29.21074043938161</v>
      </c>
      <c r="H160" s="48">
        <f t="shared" si="19"/>
        <v>16.700000000000003</v>
      </c>
      <c r="I160" s="58">
        <f t="shared" si="17"/>
        <v>87</v>
      </c>
    </row>
    <row r="161" spans="1:9" ht="19.5" thickBot="1">
      <c r="A161" s="80" t="s">
        <v>25</v>
      </c>
      <c r="B161" s="60">
        <f>B155-B156-B157-B158-B159-B160</f>
        <v>366067.5</v>
      </c>
      <c r="C161" s="60">
        <f>C155-C156-C157-C158-C159-C160</f>
        <v>1256579.7900000003</v>
      </c>
      <c r="D161" s="60">
        <f>D155-D156-D157-D158-D159-D160</f>
        <v>238146.1999999999</v>
      </c>
      <c r="E161" s="28">
        <f>D161/D155*100</f>
        <v>43.84795866681665</v>
      </c>
      <c r="F161" s="28">
        <f t="shared" si="18"/>
        <v>65.05526986143263</v>
      </c>
      <c r="G161" s="28">
        <f t="shared" si="16"/>
        <v>18.951936191811573</v>
      </c>
      <c r="H161" s="81">
        <f t="shared" si="19"/>
        <v>127921.3000000001</v>
      </c>
      <c r="I161" s="81">
        <f t="shared" si="17"/>
        <v>1018433.5900000003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2507681.6900000004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543118.0999999999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2507681.6900000004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543118.0999999999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2019-04-04T10:18:24Z</dcterms:modified>
  <cp:category/>
  <cp:version/>
  <cp:contentType/>
  <cp:contentStatus/>
</cp:coreProperties>
</file>